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 Gerber\Documents\BGK\Kaderrekrutierung\Teilprojekt Ratgeber\Kapitel Lektoriert\Beilagen Muster\"/>
    </mc:Choice>
  </mc:AlternateContent>
  <bookViews>
    <workbookView xWindow="0" yWindow="0" windowWidth="16380" windowHeight="8190" tabRatio="448" activeTab="1"/>
  </bookViews>
  <sheets>
    <sheet name="monat" sheetId="1" r:id="rId1"/>
    <sheet name="Jahr" sheetId="3" r:id="rId2"/>
    <sheet name="Tabelle1" sheetId="2" r:id="rId3"/>
  </sheets>
  <calcPr calcId="152511"/>
</workbook>
</file>

<file path=xl/calcChain.xml><?xml version="1.0" encoding="utf-8"?>
<calcChain xmlns="http://schemas.openxmlformats.org/spreadsheetml/2006/main">
  <c r="J29" i="3" l="1"/>
  <c r="J18" i="3"/>
  <c r="J17" i="3"/>
  <c r="J16" i="3"/>
  <c r="J15" i="3"/>
  <c r="J14" i="3"/>
  <c r="J13" i="3"/>
  <c r="J9" i="3"/>
  <c r="J10" i="3"/>
  <c r="H9" i="3"/>
  <c r="H18" i="3"/>
  <c r="H17" i="3"/>
  <c r="H16" i="3"/>
  <c r="F16" i="3"/>
  <c r="H15" i="3"/>
  <c r="H14" i="3"/>
  <c r="H13" i="3"/>
  <c r="H10" i="3"/>
  <c r="H12" i="3"/>
  <c r="H20" i="3"/>
  <c r="F9" i="3"/>
  <c r="F10" i="3"/>
  <c r="F12" i="3"/>
  <c r="H4" i="2"/>
  <c r="H3" i="2"/>
  <c r="H10" i="2"/>
  <c r="H12" i="2"/>
  <c r="H16" i="2"/>
  <c r="F41" i="3"/>
  <c r="F19" i="3"/>
  <c r="F18" i="3"/>
  <c r="F17" i="3"/>
  <c r="F15" i="3"/>
  <c r="F14" i="3"/>
  <c r="F13" i="3"/>
  <c r="D33" i="3"/>
  <c r="D35" i="3"/>
  <c r="D36" i="3"/>
  <c r="F4" i="1"/>
  <c r="F5" i="1"/>
  <c r="F12" i="1"/>
  <c r="F13" i="1"/>
  <c r="F15" i="1"/>
  <c r="D25" i="1"/>
  <c r="D26" i="1"/>
  <c r="D28" i="1"/>
  <c r="D29" i="1"/>
  <c r="J12" i="3"/>
  <c r="J20" i="3"/>
  <c r="J24" i="3"/>
  <c r="F6" i="1"/>
  <c r="F8" i="1"/>
  <c r="F16" i="1"/>
  <c r="F20" i="1"/>
  <c r="F18" i="1"/>
  <c r="F22" i="1"/>
  <c r="H22" i="1"/>
  <c r="F31" i="1"/>
  <c r="F20" i="3"/>
  <c r="F24" i="3"/>
  <c r="H24" i="3"/>
  <c r="H22" i="3"/>
  <c r="H26" i="3"/>
  <c r="H27" i="3"/>
  <c r="J22" i="3"/>
  <c r="J26" i="3"/>
  <c r="J27" i="3"/>
  <c r="F22" i="3"/>
  <c r="F26" i="3"/>
  <c r="M23" i="3"/>
  <c r="F38" i="3"/>
  <c r="F40" i="3"/>
  <c r="F27" i="3"/>
</calcChain>
</file>

<file path=xl/sharedStrings.xml><?xml version="1.0" encoding="utf-8"?>
<sst xmlns="http://schemas.openxmlformats.org/spreadsheetml/2006/main" count="114" uniqueCount="88">
  <si>
    <t>Kalkulation Vollkosten für ein Mitarbeiter</t>
  </si>
  <si>
    <t>Bruttolohn Monatslohn Mitarbeiter</t>
  </si>
  <si>
    <t>Anteil 13. Monatslohn</t>
  </si>
  <si>
    <t>Sozialversicherungen</t>
  </si>
  <si>
    <t>Brutto/Brutto p. Mt.</t>
  </si>
  <si>
    <t>Weiterbildung in % Bruttolohn</t>
  </si>
  <si>
    <t>On the Job, extern</t>
  </si>
  <si>
    <t>Administrationskosten</t>
  </si>
  <si>
    <t>Buchhaltung, Spesenabrechung, Administration, Lohn, Versicherungen ...</t>
  </si>
  <si>
    <t>Arbeitsplatzkosten IT</t>
  </si>
  <si>
    <t>http://www.computerworld.ch/marktanalysen/studien-analysen/artikel/schweizer-behoerden-haben-tiefste-pc-kosten-61097/</t>
  </si>
  <si>
    <t xml:space="preserve">Arbeitsplatzkosten Möbel </t>
  </si>
  <si>
    <t>inkl. Sitzungszimmer, Küche, Lampen, Empfang, ...</t>
  </si>
  <si>
    <t xml:space="preserve">Büromiete, 15 m2 x CHF 240 p. J. </t>
  </si>
  <si>
    <t>Bewirtschaftungskosten 15 m2 x CHF 98.90</t>
  </si>
  <si>
    <t>http://www.pom.ch/index.php?option=com_content&amp;task=view&amp;id=291&amp;Itemid=186</t>
  </si>
  <si>
    <t>Büromaterial</t>
  </si>
  <si>
    <t>Kaffee &amp; Getränke</t>
  </si>
  <si>
    <t>200 Arbeitstage x 2 Kaffees à CHF 1 plus Mineral à CHF 1</t>
  </si>
  <si>
    <t>Total Nebenkosten p. Mt.</t>
  </si>
  <si>
    <t>Total Lohn &amp; Nebenkosten p. Mt.</t>
  </si>
  <si>
    <t>Management Führungsspanne 10 MA</t>
  </si>
  <si>
    <t>Bei Lohn von CHF 10'000 für Manager (Lohn oben ausgerechnet)</t>
  </si>
  <si>
    <t>Total inkl. Management p. Mt.</t>
  </si>
  <si>
    <t xml:space="preserve">Sollstunden: 2088 p. J. </t>
  </si>
  <si>
    <t>http://www.suissetec.ch/library/downloads/mitgliederbereich/docs_rechtsdienst/mindeststundensaetze_sollstunden/deutsch/Stundenberechnung_2013.pdf</t>
  </si>
  <si>
    <t>Abzüglich 9 Feiertage</t>
  </si>
  <si>
    <t>Abzüglich 5 Wochen Ferien</t>
  </si>
  <si>
    <t>Abzüglich durchschn. Absenzstunden</t>
  </si>
  <si>
    <t>Krankheit, Unfall, ... http://gesundheitsfoerderung.ch/pages/Betriebliche_Gesundheitsfoerderung/Allgemeines/facts_and_figures.php</t>
  </si>
  <si>
    <t>Sollstunden on the Job pro Jahr</t>
  </si>
  <si>
    <t>Sollstunden on the Job pro Monat</t>
  </si>
  <si>
    <t>Total pro Stunde CHF</t>
  </si>
  <si>
    <t>Total Nebenkosten p. Jahr</t>
  </si>
  <si>
    <t>Total inkl. Management p. Jahr</t>
  </si>
  <si>
    <t>Kanton 300 Dossiers pro 100%</t>
  </si>
  <si>
    <t>Frauenzentrale = 80 pro Monat pro Dossier</t>
  </si>
  <si>
    <t>Dossier</t>
  </si>
  <si>
    <t>Mte</t>
  </si>
  <si>
    <t>Preis pro Dossier</t>
  </si>
  <si>
    <t>Büromaterial / Verbrauch</t>
  </si>
  <si>
    <t>Fälle</t>
  </si>
  <si>
    <t>Nidau</t>
  </si>
  <si>
    <t>Ipsach</t>
  </si>
  <si>
    <t>Brügg</t>
  </si>
  <si>
    <t>Total</t>
  </si>
  <si>
    <t>KinderBevorschussung</t>
  </si>
  <si>
    <t>N</t>
  </si>
  <si>
    <t>Nachehe-U-Inkasso</t>
  </si>
  <si>
    <t>SH-Inkasso aktiv</t>
  </si>
  <si>
    <t>Schwadernau</t>
  </si>
  <si>
    <t>Studen</t>
  </si>
  <si>
    <t xml:space="preserve">Aegerten </t>
  </si>
  <si>
    <t>Stellenprozente gemäss Kanton</t>
  </si>
  <si>
    <t>Franca</t>
  </si>
  <si>
    <t>Monika</t>
  </si>
  <si>
    <t>Susanne</t>
  </si>
  <si>
    <t>Stellenprozente differenz</t>
  </si>
  <si>
    <t>Berechnung 1</t>
  </si>
  <si>
    <t>Berechnung 2</t>
  </si>
  <si>
    <t>Lohnkosten Ali gemäss Beilage</t>
  </si>
  <si>
    <t>Lohnkosten Fin gemäss Beilage</t>
  </si>
  <si>
    <t>Abzüglich Lastenausgleich</t>
  </si>
  <si>
    <t>Abzüglich Inkassoprovision</t>
  </si>
  <si>
    <t>Total Aufwand / Ertrag</t>
  </si>
  <si>
    <t>Verteilung der Kosten pro Gemeinde gemäss Dossiers = Aufwand /Anzahl Dossier total * Anzahl Dossier Gemeinde</t>
  </si>
  <si>
    <t>fixe Pauschale pro Dossier gemäss Kanton analog zu Frauenzentrale ca. 600 Franken</t>
  </si>
  <si>
    <t>Kinder-b-inkasso</t>
  </si>
  <si>
    <t>Verlust-schein</t>
  </si>
  <si>
    <t>SH-Inkasso abgeschlos-sen</t>
  </si>
  <si>
    <t>Total Lohn &amp; Nebenkosten p. Jahr</t>
  </si>
  <si>
    <t>Beispiel</t>
  </si>
  <si>
    <t>Bruttolohn Jahreslohn Mitarbeitende</t>
  </si>
  <si>
    <t>Ausgehend von einer Bearbeitung während durchschnittlich 8 monaten pro Dossier.</t>
  </si>
  <si>
    <t>Faktor zu Bruttolohn</t>
  </si>
  <si>
    <t>Alimente
Lohnklasse 15 / Stufe 42</t>
  </si>
  <si>
    <t xml:space="preserve">Sollstunden: p. J. </t>
  </si>
  <si>
    <t>(100% Ali und 10% Fin für 300 Dossier)</t>
  </si>
  <si>
    <t>inklusive 13.</t>
  </si>
  <si>
    <t>Sozialarbeitende
Lohnklasse 19, Lohnstufe 34</t>
  </si>
  <si>
    <t xml:space="preserve">Admin / Finanzen
 Lohnklasse 13 Stufe 30 </t>
  </si>
  <si>
    <t>Vergütung durch Kanton im Lastenausgleich</t>
  </si>
  <si>
    <t>hier sind 10% Leitung enthalten: Basis SAR und Leitung = 129900</t>
  </si>
  <si>
    <t>pauschal unabhängig von Gehaltsstufe</t>
  </si>
  <si>
    <t>Seite 1 von 1</t>
  </si>
  <si>
    <t>Attraktive Arbeitgeberin Gemeinde</t>
  </si>
  <si>
    <t>September 2015</t>
  </si>
  <si>
    <t>Musterkalkulation Vollkosten für eine/n Mitarbeitende/n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</si>
</sst>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" fontId="0" fillId="0" borderId="0" xfId="0" applyNumberFormat="1"/>
    <xf numFmtId="0" fontId="1" fillId="0" borderId="0" xfId="0" applyFont="1"/>
    <xf numFmtId="4" fontId="0" fillId="2" borderId="0" xfId="0" applyNumberFormat="1" applyFill="1"/>
    <xf numFmtId="9" fontId="0" fillId="0" borderId="0" xfId="0" applyNumberFormat="1" applyFill="1"/>
    <xf numFmtId="9" fontId="0" fillId="2" borderId="0" xfId="0" applyNumberFormat="1" applyFill="1"/>
    <xf numFmtId="0" fontId="1" fillId="0" borderId="0" xfId="0" applyFont="1" applyFill="1"/>
    <xf numFmtId="4" fontId="1" fillId="0" borderId="0" xfId="0" applyNumberFormat="1" applyFont="1"/>
    <xf numFmtId="0" fontId="0" fillId="0" borderId="0" xfId="0" applyFont="1"/>
    <xf numFmtId="0" fontId="0" fillId="2" borderId="0" xfId="0" applyFill="1"/>
    <xf numFmtId="164" fontId="0" fillId="0" borderId="0" xfId="0" applyNumberFormat="1" applyFill="1"/>
    <xf numFmtId="3" fontId="0" fillId="0" borderId="0" xfId="0" applyNumberFormat="1"/>
    <xf numFmtId="3" fontId="0" fillId="0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0" applyFont="1"/>
    <xf numFmtId="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3" fontId="1" fillId="0" borderId="0" xfId="0" applyNumberFormat="1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4" fontId="0" fillId="0" borderId="2" xfId="0" applyNumberFormat="1" applyBorder="1"/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0" borderId="9" xfId="0" applyBorder="1"/>
    <xf numFmtId="0" fontId="0" fillId="0" borderId="0" xfId="0" applyBorder="1"/>
    <xf numFmtId="4" fontId="0" fillId="0" borderId="0" xfId="0" applyNumberFormat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undheitsfoerderung.ch/pages/Betriebliche_Gesundheitsfoerderung/Allgemeines/facts_and_figure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esundheitsfoerderung.ch/pages/Betriebliche_Gesundheitsfoerderung/Allgemeines/facts_and_figures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1" sqref="H1"/>
    </sheetView>
  </sheetViews>
  <sheetFormatPr baseColWidth="10" defaultRowHeight="15.75" x14ac:dyDescent="0.25"/>
  <cols>
    <col min="1" max="1" width="33.625" customWidth="1"/>
    <col min="2" max="2" width="8" customWidth="1"/>
    <col min="3" max="3" width="1.5" style="1" customWidth="1"/>
    <col min="4" max="4" width="8" customWidth="1"/>
    <col min="5" max="5" width="1.5" style="1" customWidth="1"/>
    <col min="6" max="6" width="10.875" style="2" customWidth="1"/>
    <col min="7" max="7" width="1.5" style="1" customWidth="1"/>
  </cols>
  <sheetData>
    <row r="1" spans="1:8" ht="18.75" x14ac:dyDescent="0.3">
      <c r="A1" s="3" t="s">
        <v>0</v>
      </c>
      <c r="B1" s="3"/>
      <c r="D1" s="18" t="s">
        <v>71</v>
      </c>
    </row>
    <row r="3" spans="1:8" x14ac:dyDescent="0.25">
      <c r="A3" t="s">
        <v>1</v>
      </c>
      <c r="F3" s="4">
        <v>4500</v>
      </c>
    </row>
    <row r="4" spans="1:8" x14ac:dyDescent="0.25">
      <c r="A4" t="s">
        <v>2</v>
      </c>
      <c r="F4" s="2">
        <f>+F3/12</f>
        <v>375</v>
      </c>
    </row>
    <row r="5" spans="1:8" x14ac:dyDescent="0.25">
      <c r="A5" t="s">
        <v>3</v>
      </c>
      <c r="C5" s="5"/>
      <c r="D5" s="6">
        <v>0.16</v>
      </c>
      <c r="E5" s="5"/>
      <c r="F5" s="2">
        <f>(+F3+F4)*D5</f>
        <v>780</v>
      </c>
      <c r="G5" s="5"/>
    </row>
    <row r="6" spans="1:8" s="3" customFormat="1" x14ac:dyDescent="0.25">
      <c r="A6" s="3" t="s">
        <v>4</v>
      </c>
      <c r="C6" s="7"/>
      <c r="D6" s="7"/>
      <c r="E6" s="7"/>
      <c r="F6" s="8">
        <f>+F3+F4+F5</f>
        <v>5655</v>
      </c>
      <c r="G6" s="7"/>
    </row>
    <row r="7" spans="1:8" x14ac:dyDescent="0.25">
      <c r="D7" s="1"/>
    </row>
    <row r="8" spans="1:8" x14ac:dyDescent="0.25">
      <c r="A8" t="s">
        <v>5</v>
      </c>
      <c r="C8" s="5"/>
      <c r="D8" s="6">
        <v>0.04</v>
      </c>
      <c r="E8" s="5"/>
      <c r="F8" s="2">
        <f>F6*D8</f>
        <v>226.20000000000002</v>
      </c>
      <c r="G8" s="5"/>
      <c r="H8" t="s">
        <v>6</v>
      </c>
    </row>
    <row r="9" spans="1:8" x14ac:dyDescent="0.25">
      <c r="A9" t="s">
        <v>7</v>
      </c>
      <c r="C9" s="5"/>
      <c r="D9" s="5"/>
      <c r="E9" s="5"/>
      <c r="F9" s="2">
        <v>100</v>
      </c>
      <c r="G9" s="5"/>
      <c r="H9" t="s">
        <v>8</v>
      </c>
    </row>
    <row r="10" spans="1:8" x14ac:dyDescent="0.25">
      <c r="A10" t="s">
        <v>9</v>
      </c>
      <c r="D10" s="1"/>
      <c r="F10" s="2">
        <v>200</v>
      </c>
      <c r="H10" t="s">
        <v>10</v>
      </c>
    </row>
    <row r="11" spans="1:8" x14ac:dyDescent="0.25">
      <c r="A11" t="s">
        <v>11</v>
      </c>
      <c r="D11" s="1"/>
      <c r="F11" s="2">
        <v>150</v>
      </c>
      <c r="H11" s="9" t="s">
        <v>12</v>
      </c>
    </row>
    <row r="12" spans="1:8" x14ac:dyDescent="0.25">
      <c r="A12" t="s">
        <v>13</v>
      </c>
      <c r="B12" s="10">
        <v>15</v>
      </c>
      <c r="D12" s="10">
        <v>240</v>
      </c>
      <c r="F12" s="2">
        <f>B12*D12/12</f>
        <v>300</v>
      </c>
    </row>
    <row r="13" spans="1:8" x14ac:dyDescent="0.25">
      <c r="A13" t="s">
        <v>14</v>
      </c>
      <c r="B13" s="10">
        <v>15</v>
      </c>
      <c r="D13" s="10">
        <v>98.2</v>
      </c>
      <c r="F13" s="2">
        <f>B13*D13/12</f>
        <v>122.75</v>
      </c>
      <c r="H13" t="s">
        <v>15</v>
      </c>
    </row>
    <row r="14" spans="1:8" x14ac:dyDescent="0.25">
      <c r="A14" t="s">
        <v>16</v>
      </c>
      <c r="D14" s="1"/>
      <c r="F14" s="2">
        <v>100</v>
      </c>
    </row>
    <row r="15" spans="1:8" x14ac:dyDescent="0.25">
      <c r="A15" t="s">
        <v>17</v>
      </c>
      <c r="D15" s="1"/>
      <c r="F15" s="2">
        <f>200*(2*1+1)/12</f>
        <v>50</v>
      </c>
      <c r="H15" t="s">
        <v>18</v>
      </c>
    </row>
    <row r="16" spans="1:8" s="3" customFormat="1" x14ac:dyDescent="0.25">
      <c r="A16" s="3" t="s">
        <v>19</v>
      </c>
      <c r="C16" s="7"/>
      <c r="D16" s="7"/>
      <c r="E16" s="7"/>
      <c r="F16" s="8">
        <f>SUM(F8:F15)</f>
        <v>1248.95</v>
      </c>
      <c r="G16" s="7"/>
    </row>
    <row r="17" spans="1:8" s="3" customFormat="1" x14ac:dyDescent="0.25">
      <c r="C17" s="7"/>
      <c r="D17" s="7"/>
      <c r="E17" s="7"/>
      <c r="F17" s="8"/>
      <c r="G17" s="7"/>
    </row>
    <row r="18" spans="1:8" s="3" customFormat="1" x14ac:dyDescent="0.25">
      <c r="A18" s="3" t="s">
        <v>20</v>
      </c>
      <c r="C18" s="7"/>
      <c r="D18" s="7"/>
      <c r="E18" s="7"/>
      <c r="F18" s="8">
        <f>F6+F16</f>
        <v>6903.95</v>
      </c>
      <c r="G18" s="7"/>
      <c r="H18"/>
    </row>
    <row r="19" spans="1:8" x14ac:dyDescent="0.25">
      <c r="D19" s="1"/>
    </row>
    <row r="20" spans="1:8" x14ac:dyDescent="0.25">
      <c r="A20" t="s">
        <v>21</v>
      </c>
      <c r="B20" s="10">
        <v>10</v>
      </c>
      <c r="D20" s="10">
        <v>10000</v>
      </c>
      <c r="F20" s="2">
        <f>((D20/12*13*(1+D5))+F16)/B20</f>
        <v>1381.5616666666667</v>
      </c>
      <c r="H20" s="9" t="s">
        <v>22</v>
      </c>
    </row>
    <row r="21" spans="1:8" x14ac:dyDescent="0.25">
      <c r="D21" s="1"/>
    </row>
    <row r="22" spans="1:8" s="3" customFormat="1" x14ac:dyDescent="0.25">
      <c r="A22" s="3" t="s">
        <v>23</v>
      </c>
      <c r="C22" s="7"/>
      <c r="D22" s="7"/>
      <c r="E22" s="7"/>
      <c r="F22" s="8">
        <f>F18+F20</f>
        <v>8285.5116666666672</v>
      </c>
      <c r="G22" s="7"/>
      <c r="H22" s="3">
        <f>F22/(F3+F4)</f>
        <v>1.6995921367521369</v>
      </c>
    </row>
    <row r="23" spans="1:8" x14ac:dyDescent="0.25">
      <c r="D23" s="1"/>
    </row>
    <row r="24" spans="1:8" x14ac:dyDescent="0.25">
      <c r="A24" t="s">
        <v>24</v>
      </c>
      <c r="C24" s="11"/>
      <c r="D24" s="12">
        <v>2088</v>
      </c>
      <c r="E24" s="11"/>
      <c r="F24"/>
      <c r="G24" s="11"/>
      <c r="H24" t="s">
        <v>25</v>
      </c>
    </row>
    <row r="25" spans="1:8" x14ac:dyDescent="0.25">
      <c r="A25" t="s">
        <v>26</v>
      </c>
      <c r="C25" s="11"/>
      <c r="D25" s="13">
        <f>9*8.4</f>
        <v>75.600000000000009</v>
      </c>
      <c r="E25" s="11"/>
      <c r="G25" s="11"/>
    </row>
    <row r="26" spans="1:8" x14ac:dyDescent="0.25">
      <c r="A26" t="s">
        <v>27</v>
      </c>
      <c r="C26" s="11"/>
      <c r="D26" s="13">
        <f>5*42</f>
        <v>210</v>
      </c>
      <c r="E26" s="11"/>
      <c r="G26" s="11"/>
    </row>
    <row r="27" spans="1:8" x14ac:dyDescent="0.25">
      <c r="A27" t="s">
        <v>28</v>
      </c>
      <c r="C27" s="11"/>
      <c r="D27" s="13">
        <v>69</v>
      </c>
      <c r="E27" s="11"/>
      <c r="G27" s="11"/>
      <c r="H27" t="s">
        <v>29</v>
      </c>
    </row>
    <row r="28" spans="1:8" x14ac:dyDescent="0.25">
      <c r="A28" t="s">
        <v>30</v>
      </c>
      <c r="C28" s="11"/>
      <c r="D28" s="13">
        <f>D24-D25-D26-D27</f>
        <v>1733.4</v>
      </c>
      <c r="E28" s="11"/>
      <c r="G28" s="11"/>
    </row>
    <row r="29" spans="1:8" x14ac:dyDescent="0.25">
      <c r="A29" t="s">
        <v>31</v>
      </c>
      <c r="C29" s="11"/>
      <c r="D29" s="13">
        <f>D28/12</f>
        <v>144.45000000000002</v>
      </c>
      <c r="E29" s="11"/>
      <c r="G29" s="11"/>
    </row>
    <row r="30" spans="1:8" x14ac:dyDescent="0.25">
      <c r="D30" s="1"/>
    </row>
    <row r="31" spans="1:8" s="7" customFormat="1" x14ac:dyDescent="0.25">
      <c r="A31" s="14" t="s">
        <v>32</v>
      </c>
      <c r="B31" s="14"/>
      <c r="C31" s="14"/>
      <c r="D31" s="14"/>
      <c r="E31" s="14"/>
      <c r="F31" s="15">
        <f>F22/D29</f>
        <v>57.359028498903882</v>
      </c>
    </row>
  </sheetData>
  <sheetProtection selectLockedCells="1" selectUnlockedCells="1"/>
  <hyperlinks>
    <hyperlink ref="H27" r:id="rId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Layout" topLeftCell="A20" zoomScaleNormal="100" workbookViewId="0">
      <selection activeCell="A6" sqref="A6"/>
    </sheetView>
  </sheetViews>
  <sheetFormatPr baseColWidth="10" defaultRowHeight="15.75" x14ac:dyDescent="0.25"/>
  <cols>
    <col min="1" max="1" width="33.625" customWidth="1"/>
    <col min="2" max="2" width="8" customWidth="1"/>
    <col min="3" max="3" width="3.875" style="1" customWidth="1"/>
    <col min="4" max="4" width="8" customWidth="1"/>
    <col min="5" max="5" width="1.5" style="1" customWidth="1"/>
    <col min="6" max="6" width="12.625" style="2" customWidth="1"/>
    <col min="7" max="7" width="1.5" style="1" customWidth="1"/>
    <col min="8" max="8" width="15.125" style="1" customWidth="1"/>
    <col min="10" max="10" width="14.875" customWidth="1"/>
    <col min="11" max="11" width="64.625" customWidth="1"/>
  </cols>
  <sheetData>
    <row r="1" spans="1:11" x14ac:dyDescent="0.25">
      <c r="A1" s="34"/>
      <c r="B1" s="24"/>
      <c r="C1" s="25"/>
      <c r="D1" s="24"/>
      <c r="E1" s="25"/>
      <c r="F1" s="26"/>
      <c r="G1" s="25"/>
      <c r="H1" s="25"/>
      <c r="I1" s="27"/>
      <c r="J1" s="23"/>
      <c r="K1" s="27"/>
    </row>
    <row r="2" spans="1:11" x14ac:dyDescent="0.25">
      <c r="A2" s="35" t="s">
        <v>86</v>
      </c>
      <c r="B2" s="41" t="s">
        <v>85</v>
      </c>
      <c r="C2" s="42"/>
      <c r="D2" s="42"/>
      <c r="E2" s="42"/>
      <c r="F2" s="42"/>
      <c r="G2" s="42"/>
      <c r="H2" s="42"/>
      <c r="I2" s="43"/>
      <c r="J2" s="39" t="s">
        <v>84</v>
      </c>
      <c r="K2" s="40"/>
    </row>
    <row r="3" spans="1:11" x14ac:dyDescent="0.25">
      <c r="A3" s="36"/>
      <c r="B3" s="30"/>
      <c r="C3" s="31"/>
      <c r="D3" s="30"/>
      <c r="E3" s="31"/>
      <c r="F3" s="32"/>
      <c r="G3" s="31"/>
      <c r="H3" s="31"/>
      <c r="I3" s="33"/>
      <c r="J3" s="29"/>
      <c r="K3" s="33"/>
    </row>
    <row r="4" spans="1:11" ht="33" customHeight="1" x14ac:dyDescent="0.25">
      <c r="A4" s="37"/>
      <c r="B4" s="37"/>
      <c r="C4" s="28"/>
      <c r="D4" s="37"/>
      <c r="E4" s="28"/>
      <c r="F4" s="38"/>
      <c r="G4" s="28"/>
      <c r="H4" s="28"/>
      <c r="I4" s="37"/>
      <c r="J4" s="37"/>
      <c r="K4" s="37"/>
    </row>
    <row r="5" spans="1:11" x14ac:dyDescent="0.25">
      <c r="A5" s="3" t="s">
        <v>87</v>
      </c>
      <c r="B5" s="3"/>
    </row>
    <row r="6" spans="1:11" ht="58.5" customHeight="1" x14ac:dyDescent="0.25">
      <c r="F6" s="19" t="s">
        <v>75</v>
      </c>
      <c r="H6" s="20" t="s">
        <v>80</v>
      </c>
      <c r="J6" s="16" t="s">
        <v>79</v>
      </c>
    </row>
    <row r="7" spans="1:11" x14ac:dyDescent="0.25">
      <c r="A7" t="s">
        <v>72</v>
      </c>
      <c r="F7" s="4">
        <v>90100</v>
      </c>
      <c r="H7" s="4">
        <v>77200</v>
      </c>
      <c r="J7" s="12">
        <v>103900</v>
      </c>
    </row>
    <row r="8" spans="1:11" x14ac:dyDescent="0.25">
      <c r="A8" t="s">
        <v>2</v>
      </c>
      <c r="K8" t="s">
        <v>78</v>
      </c>
    </row>
    <row r="9" spans="1:11" x14ac:dyDescent="0.25">
      <c r="A9" t="s">
        <v>3</v>
      </c>
      <c r="C9" s="5"/>
      <c r="D9" s="6">
        <v>0.18</v>
      </c>
      <c r="E9" s="5"/>
      <c r="F9" s="2">
        <f>(+F7+F8)*$D9</f>
        <v>16218</v>
      </c>
      <c r="G9" s="5"/>
      <c r="H9" s="2">
        <f>(+H7+H8)*$D9</f>
        <v>13896</v>
      </c>
      <c r="J9" s="2">
        <f>(+J7+J8)*$D9</f>
        <v>18702</v>
      </c>
    </row>
    <row r="10" spans="1:11" s="3" customFormat="1" x14ac:dyDescent="0.25">
      <c r="A10" s="3" t="s">
        <v>4</v>
      </c>
      <c r="C10" s="7"/>
      <c r="D10" s="7"/>
      <c r="E10" s="7"/>
      <c r="F10" s="8">
        <f>+F7+F8+F9</f>
        <v>106318</v>
      </c>
      <c r="G10" s="7"/>
      <c r="H10" s="8">
        <f>+H7+H8+H9</f>
        <v>91096</v>
      </c>
      <c r="J10" s="8">
        <f>+J7+J8+J9</f>
        <v>122602</v>
      </c>
    </row>
    <row r="11" spans="1:11" x14ac:dyDescent="0.25">
      <c r="D11" s="1"/>
    </row>
    <row r="12" spans="1:11" x14ac:dyDescent="0.25">
      <c r="A12" t="s">
        <v>5</v>
      </c>
      <c r="C12" s="5"/>
      <c r="D12" s="6">
        <v>0.04</v>
      </c>
      <c r="E12" s="5"/>
      <c r="F12" s="2">
        <f>F10*$D12</f>
        <v>4252.72</v>
      </c>
      <c r="G12" s="5"/>
      <c r="H12" s="2">
        <f>H10*$D12</f>
        <v>3643.84</v>
      </c>
      <c r="J12" s="2">
        <f>J10*$D12</f>
        <v>4904.08</v>
      </c>
      <c r="K12" t="s">
        <v>6</v>
      </c>
    </row>
    <row r="13" spans="1:11" x14ac:dyDescent="0.25">
      <c r="A13" t="s">
        <v>7</v>
      </c>
      <c r="C13" s="5"/>
      <c r="D13" s="5"/>
      <c r="E13" s="5"/>
      <c r="F13" s="2">
        <f>100*12</f>
        <v>1200</v>
      </c>
      <c r="G13" s="5"/>
      <c r="H13" s="2">
        <f>100*12</f>
        <v>1200</v>
      </c>
      <c r="J13" s="2">
        <f>100*12</f>
        <v>1200</v>
      </c>
      <c r="K13" t="s">
        <v>8</v>
      </c>
    </row>
    <row r="14" spans="1:11" x14ac:dyDescent="0.25">
      <c r="A14" t="s">
        <v>9</v>
      </c>
      <c r="D14" s="1"/>
      <c r="F14" s="2">
        <f>200*12</f>
        <v>2400</v>
      </c>
      <c r="H14" s="2">
        <f>200*12</f>
        <v>2400</v>
      </c>
      <c r="J14" s="2">
        <f>200*12</f>
        <v>2400</v>
      </c>
      <c r="K14" t="s">
        <v>10</v>
      </c>
    </row>
    <row r="15" spans="1:11" x14ac:dyDescent="0.25">
      <c r="A15" t="s">
        <v>11</v>
      </c>
      <c r="D15" s="1"/>
      <c r="F15" s="2">
        <f>150*12</f>
        <v>1800</v>
      </c>
      <c r="H15" s="2">
        <f>150*12</f>
        <v>1800</v>
      </c>
      <c r="J15" s="2">
        <f>150*12</f>
        <v>1800</v>
      </c>
      <c r="K15" s="9" t="s">
        <v>12</v>
      </c>
    </row>
    <row r="16" spans="1:11" x14ac:dyDescent="0.25">
      <c r="A16" t="s">
        <v>13</v>
      </c>
      <c r="B16" s="10">
        <v>15</v>
      </c>
      <c r="D16" s="10">
        <v>240</v>
      </c>
      <c r="F16" s="2">
        <f>$B16*$D16</f>
        <v>3600</v>
      </c>
      <c r="H16" s="2">
        <f>$B16*$D16</f>
        <v>3600</v>
      </c>
      <c r="J16" s="2">
        <f>$B16*$D16</f>
        <v>3600</v>
      </c>
    </row>
    <row r="17" spans="1:13" x14ac:dyDescent="0.25">
      <c r="A17" t="s">
        <v>14</v>
      </c>
      <c r="B17" s="10">
        <v>15</v>
      </c>
      <c r="D17" s="10">
        <v>98.2</v>
      </c>
      <c r="F17" s="2">
        <f>B17*D17</f>
        <v>1473</v>
      </c>
      <c r="H17" s="2">
        <f>$B17*$D17</f>
        <v>1473</v>
      </c>
      <c r="J17" s="2">
        <f>$B17*$D17</f>
        <v>1473</v>
      </c>
      <c r="K17" t="s">
        <v>15</v>
      </c>
    </row>
    <row r="18" spans="1:13" x14ac:dyDescent="0.25">
      <c r="A18" t="s">
        <v>40</v>
      </c>
      <c r="D18" s="1"/>
      <c r="F18" s="2">
        <f>100*12+F19</f>
        <v>1800</v>
      </c>
      <c r="H18" s="2">
        <f>100*12+H19</f>
        <v>1200</v>
      </c>
      <c r="J18" s="2">
        <f>100*12+J19</f>
        <v>1200</v>
      </c>
    </row>
    <row r="19" spans="1:13" hidden="1" x14ac:dyDescent="0.25">
      <c r="A19" t="s">
        <v>17</v>
      </c>
      <c r="D19" s="1"/>
      <c r="F19" s="2">
        <f>200*(2*1+1)</f>
        <v>600</v>
      </c>
      <c r="K19" t="s">
        <v>18</v>
      </c>
    </row>
    <row r="20" spans="1:13" s="3" customFormat="1" x14ac:dyDescent="0.25">
      <c r="A20" s="3" t="s">
        <v>33</v>
      </c>
      <c r="C20" s="7"/>
      <c r="D20" s="7"/>
      <c r="E20" s="7"/>
      <c r="F20" s="8">
        <f>SUM(F12:F19)</f>
        <v>17125.72</v>
      </c>
      <c r="G20" s="7"/>
      <c r="H20" s="8">
        <f>SUM(H12:H19)</f>
        <v>15316.84</v>
      </c>
      <c r="J20" s="8">
        <f>SUM(J12:J19)</f>
        <v>16577.080000000002</v>
      </c>
    </row>
    <row r="21" spans="1:13" s="3" customFormat="1" x14ac:dyDescent="0.25">
      <c r="C21" s="7"/>
      <c r="D21" s="7"/>
      <c r="E21" s="7"/>
      <c r="F21" s="8"/>
      <c r="G21" s="7"/>
      <c r="H21" s="7"/>
    </row>
    <row r="22" spans="1:13" s="3" customFormat="1" x14ac:dyDescent="0.25">
      <c r="A22" s="3" t="s">
        <v>70</v>
      </c>
      <c r="C22" s="7"/>
      <c r="D22" s="7"/>
      <c r="E22" s="7"/>
      <c r="F22" s="8">
        <f>F10+F20</f>
        <v>123443.72</v>
      </c>
      <c r="G22" s="7"/>
      <c r="H22" s="8">
        <f>H10+H20</f>
        <v>106412.84</v>
      </c>
      <c r="J22" s="8">
        <f>J10+J20</f>
        <v>139179.08000000002</v>
      </c>
      <c r="K22"/>
    </row>
    <row r="23" spans="1:13" x14ac:dyDescent="0.25">
      <c r="A23" s="3"/>
      <c r="D23" s="5"/>
      <c r="M23" s="2">
        <f>F22*D23</f>
        <v>0</v>
      </c>
    </row>
    <row r="24" spans="1:13" x14ac:dyDescent="0.25">
      <c r="A24" t="s">
        <v>21</v>
      </c>
      <c r="B24" s="10">
        <v>10</v>
      </c>
      <c r="D24" s="10">
        <v>12500</v>
      </c>
      <c r="F24" s="2">
        <f>(($D24*13*(1+$D9))+F20)/$B24</f>
        <v>20887.572</v>
      </c>
      <c r="H24" s="2">
        <f>(($D24*13*(1+$D9))+H20)/$B24</f>
        <v>20706.684000000001</v>
      </c>
      <c r="J24" s="2">
        <f>(($D24*13*(1+$D9))+J20)/$B24</f>
        <v>20832.708000000002</v>
      </c>
      <c r="K24" s="9" t="s">
        <v>22</v>
      </c>
    </row>
    <row r="25" spans="1:13" x14ac:dyDescent="0.25">
      <c r="D25" s="1"/>
    </row>
    <row r="26" spans="1:13" s="3" customFormat="1" x14ac:dyDescent="0.25">
      <c r="A26" s="3" t="s">
        <v>34</v>
      </c>
      <c r="C26" s="7"/>
      <c r="D26" s="7"/>
      <c r="E26" s="7"/>
      <c r="F26" s="8">
        <f>F22+F24</f>
        <v>144331.29200000002</v>
      </c>
      <c r="G26" s="7"/>
      <c r="H26" s="8">
        <f>H22+H24</f>
        <v>127119.524</v>
      </c>
      <c r="J26" s="8">
        <f>J22+J24</f>
        <v>160011.78800000003</v>
      </c>
    </row>
    <row r="27" spans="1:13" s="3" customFormat="1" x14ac:dyDescent="0.25">
      <c r="A27" s="3" t="s">
        <v>74</v>
      </c>
      <c r="C27" s="7"/>
      <c r="D27" s="7"/>
      <c r="E27" s="7"/>
      <c r="F27" s="8">
        <f>F26/F7</f>
        <v>1.6019011320754719</v>
      </c>
      <c r="G27" s="7"/>
      <c r="H27" s="8">
        <f>H26/H7</f>
        <v>1.6466259585492229</v>
      </c>
      <c r="J27" s="8">
        <f>J26/J7</f>
        <v>1.5400557074109724</v>
      </c>
    </row>
    <row r="28" spans="1:13" s="3" customFormat="1" x14ac:dyDescent="0.25">
      <c r="C28" s="7"/>
      <c r="D28" s="7"/>
      <c r="E28" s="7"/>
      <c r="F28" s="8"/>
      <c r="G28" s="7"/>
      <c r="H28" s="7"/>
    </row>
    <row r="29" spans="1:13" s="3" customFormat="1" x14ac:dyDescent="0.25">
      <c r="A29" s="3" t="s">
        <v>81</v>
      </c>
      <c r="C29" s="7"/>
      <c r="D29" s="7"/>
      <c r="E29" s="7"/>
      <c r="F29" s="8"/>
      <c r="G29" s="7"/>
      <c r="H29" s="21">
        <v>108000</v>
      </c>
      <c r="J29" s="21">
        <f>129900/10*11</f>
        <v>142890</v>
      </c>
      <c r="K29" s="9" t="s">
        <v>82</v>
      </c>
    </row>
    <row r="30" spans="1:13" s="3" customFormat="1" x14ac:dyDescent="0.25">
      <c r="A30" s="22" t="s">
        <v>83</v>
      </c>
      <c r="C30" s="7"/>
      <c r="D30" s="7"/>
      <c r="E30" s="7"/>
      <c r="F30" s="8"/>
      <c r="G30" s="7"/>
      <c r="H30" s="7"/>
    </row>
    <row r="31" spans="1:13" x14ac:dyDescent="0.25">
      <c r="D31" s="1"/>
    </row>
    <row r="32" spans="1:13" x14ac:dyDescent="0.25">
      <c r="A32" t="s">
        <v>76</v>
      </c>
      <c r="C32" s="11"/>
      <c r="D32" s="12">
        <v>2108</v>
      </c>
      <c r="E32" s="11"/>
      <c r="F32"/>
      <c r="G32" s="11"/>
      <c r="H32" s="11"/>
      <c r="K32" t="s">
        <v>25</v>
      </c>
    </row>
    <row r="33" spans="1:11" x14ac:dyDescent="0.25">
      <c r="A33" t="s">
        <v>27</v>
      </c>
      <c r="C33" s="11"/>
      <c r="D33" s="13">
        <f>5*42</f>
        <v>210</v>
      </c>
      <c r="E33" s="11"/>
      <c r="G33" s="11"/>
      <c r="H33" s="11"/>
    </row>
    <row r="34" spans="1:11" x14ac:dyDescent="0.25">
      <c r="A34" t="s">
        <v>28</v>
      </c>
      <c r="C34" s="11"/>
      <c r="D34" s="13">
        <v>69</v>
      </c>
      <c r="E34" s="11"/>
      <c r="G34" s="11"/>
      <c r="H34" s="11"/>
      <c r="K34" t="s">
        <v>29</v>
      </c>
    </row>
    <row r="35" spans="1:11" x14ac:dyDescent="0.25">
      <c r="A35" t="s">
        <v>30</v>
      </c>
      <c r="C35" s="11"/>
      <c r="D35" s="13">
        <f>D32-D33-D34</f>
        <v>1829</v>
      </c>
      <c r="E35" s="11"/>
      <c r="G35" s="11"/>
      <c r="H35" s="11"/>
    </row>
    <row r="36" spans="1:11" x14ac:dyDescent="0.25">
      <c r="A36" t="s">
        <v>31</v>
      </c>
      <c r="C36" s="11"/>
      <c r="D36" s="13">
        <f>D35/12</f>
        <v>152.41666666666666</v>
      </c>
      <c r="E36" s="11"/>
      <c r="G36" s="11"/>
      <c r="H36" s="11"/>
    </row>
    <row r="37" spans="1:11" x14ac:dyDescent="0.25">
      <c r="D37" s="1"/>
    </row>
    <row r="38" spans="1:11" s="7" customFormat="1" x14ac:dyDescent="0.25">
      <c r="A38" s="14" t="s">
        <v>32</v>
      </c>
      <c r="B38" s="14"/>
      <c r="C38" s="14"/>
      <c r="D38" s="14"/>
      <c r="E38" s="14"/>
      <c r="F38" s="15">
        <f>F26/D35</f>
        <v>78.912680153089127</v>
      </c>
    </row>
    <row r="39" spans="1:11" x14ac:dyDescent="0.25">
      <c r="B39" t="s">
        <v>37</v>
      </c>
      <c r="C39" s="1" t="s">
        <v>38</v>
      </c>
      <c r="F39" t="s">
        <v>39</v>
      </c>
    </row>
    <row r="40" spans="1:11" x14ac:dyDescent="0.25">
      <c r="A40" t="s">
        <v>35</v>
      </c>
      <c r="B40">
        <v>300</v>
      </c>
      <c r="F40" s="2">
        <f>(F26+H26/10)/B40</f>
        <v>523.47748133333346</v>
      </c>
      <c r="I40" t="s">
        <v>77</v>
      </c>
    </row>
    <row r="41" spans="1:11" x14ac:dyDescent="0.25">
      <c r="A41" t="s">
        <v>36</v>
      </c>
      <c r="B41">
        <v>300</v>
      </c>
      <c r="C41" s="1">
        <v>8</v>
      </c>
      <c r="D41">
        <v>80</v>
      </c>
      <c r="F41" s="2">
        <f>B41*C41*D41/B41</f>
        <v>640</v>
      </c>
      <c r="I41" t="s">
        <v>73</v>
      </c>
    </row>
  </sheetData>
  <sheetProtection selectLockedCells="1" selectUnlockedCells="1"/>
  <mergeCells count="2">
    <mergeCell ref="J2:K2"/>
    <mergeCell ref="B2:I2"/>
  </mergeCells>
  <hyperlinks>
    <hyperlink ref="K34" r:id="rId1"/>
  </hyperlinks>
  <pageMargins left="0.74791666666666667" right="0.74791666666666667" top="0.98402777777777772" bottom="0.98402777777777772" header="0.51180555555555551" footer="0.51180555555555551"/>
  <pageSetup paperSize="9" scale="49" firstPageNumber="0" fitToHeight="0" orientation="landscape" r:id="rId2"/>
  <headerFooter alignWithMargins="0">
    <oddHeader xml:space="preserve">&amp;L
</oddHeader>
    <oddFooter>&amp;L&amp;"Calibri,Kursiv"Querverweis auf Ratgeber:
Kapitel: Make or Buy?
Abschnitt 3: Mustervorlagen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A30" sqref="A1:K30"/>
    </sheetView>
  </sheetViews>
  <sheetFormatPr baseColWidth="10" defaultRowHeight="15.75" x14ac:dyDescent="0.25"/>
  <cols>
    <col min="8" max="8" width="11.375" bestFit="1" customWidth="1"/>
  </cols>
  <sheetData>
    <row r="1" spans="1:8" x14ac:dyDescent="0.25">
      <c r="B1" t="s">
        <v>41</v>
      </c>
      <c r="D1" t="s">
        <v>47</v>
      </c>
      <c r="H1" t="s">
        <v>45</v>
      </c>
    </row>
    <row r="2" spans="1:8" ht="47.25" x14ac:dyDescent="0.25">
      <c r="B2" s="16" t="s">
        <v>46</v>
      </c>
      <c r="C2" s="16" t="s">
        <v>67</v>
      </c>
      <c r="D2" s="16" t="s">
        <v>48</v>
      </c>
      <c r="E2" s="16" t="s">
        <v>49</v>
      </c>
      <c r="F2" s="16" t="s">
        <v>69</v>
      </c>
      <c r="G2" s="16" t="s">
        <v>68</v>
      </c>
    </row>
    <row r="3" spans="1:8" x14ac:dyDescent="0.25">
      <c r="A3" t="s">
        <v>42</v>
      </c>
      <c r="B3">
        <v>38</v>
      </c>
      <c r="C3">
        <v>142</v>
      </c>
      <c r="E3">
        <v>107</v>
      </c>
      <c r="H3">
        <f>SUM(B3:E3)</f>
        <v>287</v>
      </c>
    </row>
    <row r="4" spans="1:8" x14ac:dyDescent="0.25">
      <c r="A4" t="s">
        <v>43</v>
      </c>
      <c r="B4">
        <v>14</v>
      </c>
      <c r="C4">
        <v>26</v>
      </c>
      <c r="E4">
        <v>20</v>
      </c>
      <c r="H4">
        <f>SUM(B4:E4)</f>
        <v>60</v>
      </c>
    </row>
    <row r="5" spans="1:8" x14ac:dyDescent="0.25">
      <c r="A5" t="s">
        <v>44</v>
      </c>
      <c r="H5">
        <v>71</v>
      </c>
    </row>
    <row r="6" spans="1:8" x14ac:dyDescent="0.25">
      <c r="A6" t="s">
        <v>50</v>
      </c>
      <c r="H6">
        <v>6</v>
      </c>
    </row>
    <row r="7" spans="1:8" x14ac:dyDescent="0.25">
      <c r="A7" t="s">
        <v>51</v>
      </c>
      <c r="H7">
        <v>46</v>
      </c>
    </row>
    <row r="8" spans="1:8" x14ac:dyDescent="0.25">
      <c r="A8" t="s">
        <v>52</v>
      </c>
      <c r="H8">
        <v>14</v>
      </c>
    </row>
    <row r="10" spans="1:8" x14ac:dyDescent="0.25">
      <c r="A10" t="s">
        <v>45</v>
      </c>
      <c r="H10">
        <f>SUM(H3:H9)</f>
        <v>484</v>
      </c>
    </row>
    <row r="12" spans="1:8" x14ac:dyDescent="0.25">
      <c r="A12" t="s">
        <v>53</v>
      </c>
      <c r="H12" s="17">
        <f>H10/300</f>
        <v>1.6133333333333333</v>
      </c>
    </row>
    <row r="13" spans="1:8" x14ac:dyDescent="0.25">
      <c r="A13" t="s">
        <v>54</v>
      </c>
      <c r="G13">
        <v>0.5</v>
      </c>
    </row>
    <row r="14" spans="1:8" x14ac:dyDescent="0.25">
      <c r="A14" t="s">
        <v>55</v>
      </c>
      <c r="G14">
        <v>0.3</v>
      </c>
    </row>
    <row r="15" spans="1:8" x14ac:dyDescent="0.25">
      <c r="A15" t="s">
        <v>56</v>
      </c>
      <c r="G15">
        <v>0.4</v>
      </c>
    </row>
    <row r="16" spans="1:8" x14ac:dyDescent="0.25">
      <c r="A16" t="s">
        <v>57</v>
      </c>
      <c r="H16" s="17">
        <f>H12-G13-G14-G15</f>
        <v>0.41333333333333322</v>
      </c>
    </row>
    <row r="20" spans="1:3" x14ac:dyDescent="0.25">
      <c r="A20" t="s">
        <v>58</v>
      </c>
    </row>
    <row r="21" spans="1:3" x14ac:dyDescent="0.25">
      <c r="A21" t="s">
        <v>66</v>
      </c>
    </row>
    <row r="23" spans="1:3" x14ac:dyDescent="0.25">
      <c r="A23" t="s">
        <v>59</v>
      </c>
    </row>
    <row r="24" spans="1:3" x14ac:dyDescent="0.25">
      <c r="A24" t="s">
        <v>60</v>
      </c>
    </row>
    <row r="25" spans="1:3" x14ac:dyDescent="0.25">
      <c r="A25" t="s">
        <v>61</v>
      </c>
    </row>
    <row r="27" spans="1:3" x14ac:dyDescent="0.25">
      <c r="A27" t="s">
        <v>62</v>
      </c>
    </row>
    <row r="28" spans="1:3" x14ac:dyDescent="0.25">
      <c r="A28" t="s">
        <v>63</v>
      </c>
    </row>
    <row r="30" spans="1:3" x14ac:dyDescent="0.25">
      <c r="A30" t="s">
        <v>64</v>
      </c>
      <c r="C30" t="s">
        <v>65</v>
      </c>
    </row>
  </sheetData>
  <pageMargins left="0.7" right="0.7" top="0.78740157499999996" bottom="0.78740157499999996" header="0.3" footer="0.3"/>
  <pageSetup paperSize="9" scale="6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monat</vt:lpstr>
      <vt:lpstr>Jahr</vt:lpstr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Monika Gerber</cp:lastModifiedBy>
  <cp:lastPrinted>2015-07-29T13:20:55Z</cp:lastPrinted>
  <dcterms:created xsi:type="dcterms:W3CDTF">2014-05-04T12:33:05Z</dcterms:created>
  <dcterms:modified xsi:type="dcterms:W3CDTF">2016-03-01T08:13:29Z</dcterms:modified>
</cp:coreProperties>
</file>